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Terremploi\Métier\Terremploi\01. GESTION ADMINISTRATIVE\Documents utiles\2026\"/>
    </mc:Choice>
  </mc:AlternateContent>
  <xr:revisionPtr revIDLastSave="0" documentId="13_ncr:1_{20D8BA89-A4B7-4E2A-BDC8-464CECBE65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" r:id="rId1"/>
    <sheet name="Décompte de salaire" sheetId="1" r:id="rId2"/>
    <sheet name="Données de calcul" sheetId="2" state="hidden" r:id="rId3"/>
  </sheets>
  <definedNames>
    <definedName name="AgeAnnee">'Décompte de salaire'!$F$15</definedName>
    <definedName name="AgeRetraiteFemme">'Données de calcul'!$B$25</definedName>
    <definedName name="AgeRetraiteHomme">'Données de calcul'!$B$24</definedName>
    <definedName name="DéductionCoordination">'Données de calcul'!$B$21</definedName>
    <definedName name="FranchiseAVSRetraité">'Données de calcul'!$A$22</definedName>
    <definedName name="JoursFévrier">'Données de calcul'!$B$28</definedName>
    <definedName name="NombreJoursDécomptés">'Décompte de salaire'!$F$12</definedName>
    <definedName name="NonRetraité">'Données de calcul'!$C$26</definedName>
    <definedName name="Retraité">'Données de calcul'!$B$26</definedName>
    <definedName name="Retraité?">'Décompte de salaire'!$G$15</definedName>
    <definedName name="SalaireCoordonnéMaximum">'Données de calcul'!$B$23</definedName>
    <definedName name="SalaireCoordonnéMinimum">'Données de calcul'!$B$20</definedName>
    <definedName name="SalaireMaximumSoumisLPP">'Données de calcul'!$B$19</definedName>
    <definedName name="SalaireMensuelLPPDéterminant">'Décompte de salaire'!$F$37</definedName>
    <definedName name="SalaireMinimumSoumisLPP">'Données de calcul'!$B$18</definedName>
    <definedName name="SalaireSoumisAVS">'Décompte de salaire'!$C$32</definedName>
    <definedName name="Sexe">'Décompte de salaire'!$C$16</definedName>
    <definedName name="TauxLPP">'Données de calcul'!$B$8:$D$12</definedName>
    <definedName name="Type">'Décompte de salaire'!$C$17</definedName>
    <definedName name="_xlnm.Print_Area" localSheetId="1">'Décompte de salaire'!$A$1:$F$57</definedName>
    <definedName name="_xlnm.Print_Area" localSheetId="0">Instructions!$A:$B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D4" i="2"/>
  <c r="D2" i="2"/>
  <c r="D66" i="1"/>
  <c r="D35" i="1"/>
  <c r="D36" i="1"/>
  <c r="B23" i="2"/>
  <c r="B21" i="2"/>
  <c r="B20" i="2"/>
  <c r="B19" i="2"/>
  <c r="B18" i="2"/>
  <c r="G12" i="1"/>
  <c r="E23" i="1"/>
  <c r="C2" i="2"/>
  <c r="E26" i="1"/>
  <c r="E52" i="1"/>
  <c r="E46" i="1"/>
  <c r="E45" i="1"/>
  <c r="E44" i="1"/>
  <c r="E43" i="1"/>
  <c r="E27" i="1"/>
  <c r="D25" i="1"/>
  <c r="D65" i="1"/>
  <c r="D64" i="1"/>
  <c r="D62" i="1"/>
  <c r="D63" i="1"/>
  <c r="D61" i="1"/>
  <c r="D34" i="1"/>
  <c r="D33" i="1"/>
  <c r="D32" i="1"/>
  <c r="C26" i="2"/>
  <c r="B26" i="2"/>
  <c r="F15" i="1"/>
  <c r="G15" i="1" s="1"/>
  <c r="D67" i="1" s="1"/>
  <c r="E48" i="1"/>
  <c r="D37" i="1" l="1"/>
  <c r="C25" i="1"/>
  <c r="E25" i="1" s="1"/>
  <c r="C24" i="1"/>
  <c r="E24" i="1" s="1"/>
  <c r="C66" i="1" s="1"/>
  <c r="E66" i="1" s="1"/>
  <c r="C36" i="1" l="1"/>
  <c r="E29" i="1"/>
  <c r="C38" i="1" s="1"/>
  <c r="E38" i="1" s="1"/>
  <c r="C61" i="1"/>
  <c r="E61" i="1" s="1"/>
  <c r="C32" i="1"/>
  <c r="C33" i="1" s="1"/>
  <c r="E33" i="1" s="1"/>
  <c r="C63" i="1" l="1"/>
  <c r="E63" i="1" s="1"/>
  <c r="C65" i="1"/>
  <c r="E65" i="1" s="1"/>
  <c r="C35" i="1"/>
  <c r="E35" i="1" s="1"/>
  <c r="E32" i="1"/>
  <c r="C34" i="1"/>
  <c r="E34" i="1" s="1"/>
  <c r="C62" i="1"/>
  <c r="E62" i="1" s="1"/>
  <c r="C64" i="1"/>
  <c r="E64" i="1" s="1"/>
  <c r="E36" i="1"/>
  <c r="F37" i="1"/>
  <c r="C37" i="1" l="1"/>
  <c r="E37" i="1" s="1"/>
  <c r="E40" i="1" s="1"/>
  <c r="E50" i="1" s="1"/>
  <c r="E54" i="1" s="1"/>
  <c r="C67" i="1"/>
  <c r="E67" i="1" s="1"/>
  <c r="E69" i="1" s="1"/>
  <c r="E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GFELLER Lionel</author>
  </authors>
  <commentList>
    <comment ref="C18" authorId="0" shapeId="0" xr:uid="{00000000-0006-0000-0100-000001000000}">
      <text>
        <r>
          <rPr>
            <sz val="9"/>
            <color indexed="81"/>
            <rFont val="Tahoma"/>
            <family val="2"/>
          </rPr>
          <t>Pour la détermination du barème, veuillez vous référer au document "Barèmes et instructions concernant l'imposition à la source" de l'année de calcul du salaire.</t>
        </r>
      </text>
    </comment>
    <comment ref="D38" authorId="0" shapeId="0" xr:uid="{00000000-0006-0000-0100-000002000000}">
      <text>
        <r>
          <rPr>
            <sz val="9"/>
            <color indexed="81"/>
            <rFont val="Tahoma"/>
            <family val="2"/>
          </rPr>
          <t>Veuillez saisir le taux relatif au salaire soumis à l'impôt à la source et à la situation du travailleur.
Référez vous pour cela au document "Barèmes et instructions concernant l'imposition à la source" de l'année de calcul du salaire.</t>
        </r>
      </text>
    </comment>
  </commentList>
</comments>
</file>

<file path=xl/sharedStrings.xml><?xml version="1.0" encoding="utf-8"?>
<sst xmlns="http://schemas.openxmlformats.org/spreadsheetml/2006/main" count="81" uniqueCount="60">
  <si>
    <t>Données mensuelles</t>
  </si>
  <si>
    <t>N° AVS</t>
  </si>
  <si>
    <t>Date de naissance</t>
  </si>
  <si>
    <t>Barème IS</t>
  </si>
  <si>
    <t>Base</t>
  </si>
  <si>
    <t>Total</t>
  </si>
  <si>
    <t>AVS/AI/APG</t>
  </si>
  <si>
    <t>PC Famille et Rente-pont</t>
  </si>
  <si>
    <t>Salaire Net</t>
  </si>
  <si>
    <t>Employeur</t>
  </si>
  <si>
    <t>Employé</t>
  </si>
  <si>
    <t>Décompte de salaire pour la période du</t>
  </si>
  <si>
    <t>au</t>
  </si>
  <si>
    <t>Assurance accident non professionnel</t>
  </si>
  <si>
    <t>Indemnités journalières en cas de maladie</t>
  </si>
  <si>
    <t>Prévoyance professionnelle (LPP)</t>
  </si>
  <si>
    <t>Salaire brut</t>
  </si>
  <si>
    <t>Charges sociales</t>
  </si>
  <si>
    <t>Allocations familliales</t>
  </si>
  <si>
    <t>Divers</t>
  </si>
  <si>
    <t>Assurance chômage</t>
  </si>
  <si>
    <t>Sexe</t>
  </si>
  <si>
    <t>Montant du paiement</t>
  </si>
  <si>
    <t>Taux</t>
  </si>
  <si>
    <t>Nombre / %</t>
  </si>
  <si>
    <t>Paramètres généraux</t>
  </si>
  <si>
    <t>Salaire AVS minimum pour la LPP</t>
  </si>
  <si>
    <t>Déduction de coordination</t>
  </si>
  <si>
    <t>Déduction AVS pour retraité</t>
  </si>
  <si>
    <t>Age retraite homme</t>
  </si>
  <si>
    <t>Age retraite femme</t>
  </si>
  <si>
    <t>Retraité</t>
  </si>
  <si>
    <t>Minimum LPP coordonné</t>
  </si>
  <si>
    <t>Maximum LPP coordonné</t>
  </si>
  <si>
    <t>Salaire AVS maximum pour la LPP</t>
  </si>
  <si>
    <t>Assurance maladie obligatoire des soins</t>
  </si>
  <si>
    <t>Soumis</t>
  </si>
  <si>
    <t>Fiche salaire: Informations générales</t>
  </si>
  <si>
    <t>Type de collaborateur</t>
  </si>
  <si>
    <t>Charges patronales</t>
  </si>
  <si>
    <t>Travailleur agricole</t>
  </si>
  <si>
    <t>Collaborateur familial agricole</t>
  </si>
  <si>
    <t>Allocations familiales</t>
  </si>
  <si>
    <t>Total des charges patronales</t>
  </si>
  <si>
    <t>Coût total de l'employé</t>
  </si>
  <si>
    <t>Salaire horaire</t>
  </si>
  <si>
    <t>Indemnités vacances</t>
  </si>
  <si>
    <t>Indemnités jours fériés</t>
  </si>
  <si>
    <t>Taux 4 semaines vacances</t>
  </si>
  <si>
    <t>Taux 5 semaines vacances</t>
  </si>
  <si>
    <t>Taux jours fériés</t>
  </si>
  <si>
    <t>Prestations en nature logement</t>
  </si>
  <si>
    <t>Prestations en nature repas</t>
  </si>
  <si>
    <t>Salaire différé</t>
  </si>
  <si>
    <t>Impôt source (selon barèmes en vigueur)</t>
  </si>
  <si>
    <t>Nombre de jours en février</t>
  </si>
  <si>
    <t>Version 1.4</t>
  </si>
  <si>
    <t xml:space="preserve">Version 1.4    </t>
  </si>
  <si>
    <t>Homme</t>
  </si>
  <si>
    <t>Assurance accident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</si>
</sst>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7"/>
      <color theme="1"/>
      <name val="Calibri Light"/>
      <family val="2"/>
      <scheme val="major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top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4" fillId="0" borderId="0" xfId="0" applyFont="1"/>
    <xf numFmtId="0" fontId="4" fillId="0" borderId="0" xfId="0" applyFont="1" applyAlignment="1">
      <alignment vertical="center"/>
    </xf>
    <xf numFmtId="2" fontId="7" fillId="0" borderId="0" xfId="0" applyNumberFormat="1" applyFont="1"/>
    <xf numFmtId="0" fontId="15" fillId="0" borderId="0" xfId="0" applyFont="1" applyAlignment="1">
      <alignment horizontal="right" vertical="top"/>
    </xf>
    <xf numFmtId="14" fontId="4" fillId="2" borderId="0" xfId="0" applyNumberFormat="1" applyFont="1" applyFill="1" applyProtection="1">
      <protection locked="0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left"/>
    </xf>
    <xf numFmtId="14" fontId="4" fillId="2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/>
    <xf numFmtId="0" fontId="4" fillId="0" borderId="7" xfId="0" applyFont="1" applyBorder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0" borderId="8" xfId="0" applyFont="1" applyBorder="1"/>
    <xf numFmtId="0" fontId="4" fillId="0" borderId="9" xfId="0" applyFont="1" applyBorder="1"/>
    <xf numFmtId="0" fontId="4" fillId="2" borderId="9" xfId="0" applyFont="1" applyFill="1" applyBorder="1" applyProtection="1">
      <protection locked="0"/>
    </xf>
    <xf numFmtId="0" fontId="4" fillId="3" borderId="9" xfId="0" applyFont="1" applyFill="1" applyBorder="1"/>
    <xf numFmtId="0" fontId="4" fillId="0" borderId="10" xfId="0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2" fontId="4" fillId="2" borderId="0" xfId="0" applyNumberFormat="1" applyFont="1" applyFill="1" applyProtection="1">
      <protection locked="0"/>
    </xf>
    <xf numFmtId="2" fontId="4" fillId="0" borderId="0" xfId="0" applyNumberFormat="1" applyFont="1"/>
    <xf numFmtId="2" fontId="4" fillId="3" borderId="0" xfId="0" applyNumberFormat="1" applyFont="1" applyFill="1"/>
    <xf numFmtId="165" fontId="4" fillId="2" borderId="0" xfId="2" applyNumberFormat="1" applyFont="1" applyFill="1" applyProtection="1">
      <protection locked="0"/>
    </xf>
    <xf numFmtId="165" fontId="4" fillId="3" borderId="0" xfId="2" applyNumberFormat="1" applyFont="1" applyFill="1" applyProtection="1"/>
    <xf numFmtId="2" fontId="4" fillId="0" borderId="1" xfId="0" applyNumberFormat="1" applyFont="1" applyBorder="1"/>
    <xf numFmtId="2" fontId="16" fillId="0" borderId="0" xfId="0" applyNumberFormat="1" applyFont="1"/>
    <xf numFmtId="165" fontId="4" fillId="0" borderId="0" xfId="0" applyNumberFormat="1" applyFont="1"/>
    <xf numFmtId="165" fontId="4" fillId="2" borderId="0" xfId="0" applyNumberFormat="1" applyFont="1" applyFill="1" applyProtection="1">
      <protection locked="0"/>
    </xf>
    <xf numFmtId="2" fontId="4" fillId="0" borderId="0" xfId="1" applyNumberFormat="1" applyFont="1" applyProtection="1"/>
    <xf numFmtId="2" fontId="16" fillId="0" borderId="2" xfId="1" applyNumberFormat="1" applyFont="1" applyBorder="1" applyProtection="1"/>
    <xf numFmtId="2" fontId="16" fillId="0" borderId="0" xfId="1" applyNumberFormat="1" applyFont="1" applyBorder="1" applyProtection="1"/>
    <xf numFmtId="2" fontId="16" fillId="0" borderId="0" xfId="1" applyNumberFormat="1" applyFont="1" applyProtection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2" fontId="16" fillId="0" borderId="13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2" xfId="0" applyFont="1" applyBorder="1"/>
    <xf numFmtId="2" fontId="16" fillId="0" borderId="13" xfId="0" applyNumberFormat="1" applyFont="1" applyBorder="1"/>
    <xf numFmtId="14" fontId="7" fillId="0" borderId="0" xfId="0" applyNumberFormat="1" applyFont="1"/>
    <xf numFmtId="0" fontId="7" fillId="0" borderId="0" xfId="0" applyFont="1" applyAlignment="1">
      <alignment vertical="center"/>
    </xf>
    <xf numFmtId="2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/>
    <xf numFmtId="0" fontId="4" fillId="2" borderId="0" xfId="0" applyFont="1" applyFill="1" applyProtection="1"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171450</xdr:rowOff>
    </xdr:from>
    <xdr:to>
      <xdr:col>2</xdr:col>
      <xdr:colOff>0</xdr:colOff>
      <xdr:row>36</xdr:row>
      <xdr:rowOff>85725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0" y="2647950"/>
          <a:ext cx="6486525" cy="56292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softEdge rad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Champ d'application</a:t>
          </a: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Ce formulaire ne s'applique qu'aux employeurs dont l'entier de leurs assurances pour le personnel est auprès des institutions de Prométerre ou de ses partenaires.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taux mentionnés ne s'appliquent qu'aux métiers de la terre. Ainsi, un employeur agricole qui employe du personnel pour des activités para-agricoles ne peut utiliser ce formulaire pour calculer un décompte de salaire. En effet, les taux à appliquer ainsi que les règles de calcul sont différents selon les conventions.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Finalement, ce fichier ne peut pas être utilisé pour les salariés dont le revenu annuel dépasserait CHF 148'200.-. Pour ces très rares cas, vous pouvez compléter le formulaire 7.51 sur la base duquel TerrEmploi établira gratuitement un décompte de salaire.</a:t>
          </a:r>
          <a:r>
            <a:rPr lang="fr-CH">
              <a:latin typeface="+mj-lt"/>
              <a:cs typeface="Arial" panose="020B0604020202020204" pitchFamily="34" charset="0"/>
            </a:rPr>
            <a:t> </a:t>
          </a: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endParaRPr lang="fr-CH" sz="1100" b="0" i="0" u="sng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Instructions</a:t>
          </a:r>
          <a:endParaRPr lang="fr-CH" sz="1100" b="1" i="0" u="none" strike="noStrike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Ce fichier Excel permet de calculer une fiche de salaire pour une période déterminée. Pour cela, vous devez compléter les champs en gris de la feuille "Décompte de salaire".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champs concernant la période de calcul du décompte doivent porter sur la même année civile.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La date de naissance et le sexe de l'employé sont des paramètres nécessaires au calcul du salaire.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 tyèe de collaborateur est utilisé</a:t>
          </a:r>
          <a:r>
            <a:rPr lang="fr-CH" sz="1100" b="0" i="0" u="none" strike="noStrike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pour le calcul des charges patronales.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L'information concernant le barème impôt source est présente à titre indicatif pour l'employé. Le taux à appliquer concernant l'impôt source est à rechercher manuellement dans les instructions et tabelles mises à disposition par les différentes administrations cantonales. Il peut être saisi dans la case prévue à cet effet sous la déduction "Impôt source".</a:t>
          </a:r>
        </a:p>
        <a:p>
          <a:endParaRPr lang="fr-CH" sz="1100" b="0" i="0" u="none" strike="noStrike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r>
            <a:rPr lang="fr-CH" sz="1100" b="0" i="0" u="none" strike="noStrike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Les employés qui ne seraient pas soumis à l'une ou l'autre des déductions en raison de leur statut, âge ou de la durée de leur contrat sont gérés via le champ "Soumis" mentionné dans la déduction.</a:t>
          </a:r>
          <a:r>
            <a:rPr lang="fr-CH">
              <a:latin typeface="+mj-lt"/>
              <a:cs typeface="Arial" panose="020B0604020202020204" pitchFamily="34" charset="0"/>
            </a:rPr>
            <a:t> </a:t>
          </a:r>
          <a:endParaRPr lang="fr-CH" sz="11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0</xdr:row>
      <xdr:rowOff>1439545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7559675" cy="1439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workbookViewId="0">
      <selection activeCell="B3" sqref="B3"/>
    </sheetView>
  </sheetViews>
  <sheetFormatPr baseColWidth="10" defaultColWidth="11.42578125" defaultRowHeight="15" x14ac:dyDescent="0.25"/>
  <cols>
    <col min="1" max="1" width="15.7109375" customWidth="1"/>
    <col min="2" max="2" width="97.28515625" style="2" customWidth="1"/>
  </cols>
  <sheetData>
    <row r="1" spans="2:2" ht="114" customHeight="1" x14ac:dyDescent="0.25">
      <c r="B1" s="12"/>
    </row>
    <row r="2" spans="2:2" ht="15" customHeight="1" x14ac:dyDescent="0.25">
      <c r="B2" s="12"/>
    </row>
    <row r="3" spans="2:2" ht="15" customHeight="1" x14ac:dyDescent="0.25">
      <c r="B3" s="15" t="s">
        <v>57</v>
      </c>
    </row>
    <row r="4" spans="2:2" ht="15" customHeight="1" x14ac:dyDescent="0.25">
      <c r="B4" s="12"/>
    </row>
    <row r="5" spans="2:2" ht="21" x14ac:dyDescent="0.25">
      <c r="B5" s="14" t="s">
        <v>37</v>
      </c>
    </row>
    <row r="6" spans="2:2" ht="15" customHeight="1" x14ac:dyDescent="0.25">
      <c r="B6" s="13"/>
    </row>
  </sheetData>
  <pageMargins left="0" right="0.98425196850393704" top="0" bottom="0.74803149606299213" header="0.31496062992125984" footer="0.31496062992125984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1"/>
  <sheetViews>
    <sheetView showGridLines="0" tabSelected="1" zoomScale="90" zoomScaleNormal="90" workbookViewId="0">
      <selection activeCell="A2" sqref="A2:B2"/>
    </sheetView>
  </sheetViews>
  <sheetFormatPr baseColWidth="10" defaultColWidth="11.42578125" defaultRowHeight="14.25" x14ac:dyDescent="0.2"/>
  <cols>
    <col min="1" max="1" width="41" style="17" customWidth="1"/>
    <col min="2" max="2" width="12.28515625" style="17" customWidth="1"/>
    <col min="3" max="3" width="17.85546875" style="17" customWidth="1"/>
    <col min="4" max="4" width="13.28515625" style="7" customWidth="1"/>
    <col min="5" max="5" width="16.7109375" style="7" customWidth="1"/>
    <col min="6" max="6" width="12.42578125" style="9" customWidth="1"/>
    <col min="7" max="7" width="23" style="9" customWidth="1"/>
    <col min="8" max="16384" width="11.42578125" style="7"/>
  </cols>
  <sheetData>
    <row r="1" spans="1:13" ht="15" x14ac:dyDescent="0.25">
      <c r="A1" s="6" t="s">
        <v>9</v>
      </c>
      <c r="B1" s="6"/>
      <c r="C1" s="7"/>
      <c r="E1" s="21" t="s">
        <v>56</v>
      </c>
    </row>
    <row r="2" spans="1:13" x14ac:dyDescent="0.2">
      <c r="A2" s="68"/>
      <c r="B2" s="68"/>
      <c r="C2" s="7"/>
    </row>
    <row r="3" spans="1:13" x14ac:dyDescent="0.2">
      <c r="A3" s="68"/>
      <c r="B3" s="68"/>
      <c r="C3" s="7"/>
    </row>
    <row r="4" spans="1:13" x14ac:dyDescent="0.2">
      <c r="A4" s="68"/>
      <c r="B4" s="68"/>
      <c r="C4" s="7"/>
    </row>
    <row r="5" spans="1:13" x14ac:dyDescent="0.2">
      <c r="A5" s="68"/>
      <c r="B5" s="68"/>
      <c r="C5" s="7"/>
    </row>
    <row r="6" spans="1:13" ht="45" customHeight="1" x14ac:dyDescent="0.2"/>
    <row r="7" spans="1:13" ht="15" x14ac:dyDescent="0.25">
      <c r="C7" s="6" t="s">
        <v>10</v>
      </c>
    </row>
    <row r="8" spans="1:13" x14ac:dyDescent="0.2">
      <c r="C8" s="68"/>
      <c r="D8" s="68"/>
      <c r="E8" s="68"/>
    </row>
    <row r="9" spans="1:13" x14ac:dyDescent="0.2">
      <c r="C9" s="68"/>
      <c r="D9" s="68"/>
      <c r="E9" s="68"/>
    </row>
    <row r="10" spans="1:13" x14ac:dyDescent="0.2">
      <c r="C10" s="68"/>
      <c r="D10" s="68"/>
      <c r="E10" s="68"/>
    </row>
    <row r="11" spans="1:13" ht="60" customHeight="1" x14ac:dyDescent="0.2"/>
    <row r="12" spans="1:13" ht="15.75" customHeight="1" x14ac:dyDescent="0.25">
      <c r="A12" s="18" t="s">
        <v>11</v>
      </c>
      <c r="B12" s="18"/>
      <c r="C12" s="22">
        <v>46023</v>
      </c>
      <c r="D12" s="23" t="s">
        <v>12</v>
      </c>
      <c r="E12" s="22">
        <v>46053</v>
      </c>
      <c r="F12" s="20">
        <f>DAYS360(C12,E12,TRUE)+IF(AND(MONTH(C12)=2,MONTH(E12)=2,DAY(E12)=JoursFévrier),30-JoursFévrier+1,1)</f>
        <v>30</v>
      </c>
      <c r="G12" s="64">
        <f>MONTH(E12)-MONTH(C12)+1</f>
        <v>1</v>
      </c>
    </row>
    <row r="13" spans="1:13" ht="45" customHeight="1" thickBot="1" x14ac:dyDescent="0.3">
      <c r="A13" s="24"/>
      <c r="B13" s="24"/>
      <c r="C13" s="24"/>
      <c r="D13" s="24"/>
      <c r="F13" s="8"/>
    </row>
    <row r="14" spans="1:13" x14ac:dyDescent="0.2">
      <c r="A14" s="26" t="s">
        <v>1</v>
      </c>
      <c r="B14" s="27"/>
      <c r="C14" s="28"/>
      <c r="D14" s="29"/>
      <c r="E14" s="30"/>
    </row>
    <row r="15" spans="1:13" x14ac:dyDescent="0.2">
      <c r="A15" s="31" t="s">
        <v>2</v>
      </c>
      <c r="C15" s="32">
        <v>36526</v>
      </c>
      <c r="D15" s="33"/>
      <c r="E15" s="34"/>
      <c r="F15" s="9">
        <f>YEAR(C12)-YEAR(C15)</f>
        <v>26</v>
      </c>
      <c r="G15" s="9" t="b">
        <f>IF(Sexe="Femme",IF(AgeAnnee&gt;AgeRetraiteFemme,Retraité,IF(AgeAnnee=AgeRetraiteFemme,IF(MONTH(C15)&gt;=MONTH(C12),NonRetraité,Retraité),NonRetraité)),IF(AgeAnnee&gt;AgeRetraiteHomme,Retraité,IF(AgeAnnee=AgeRetraiteHomme,IF(MONTH(C15)&gt;=MONTH(C12),NonRetraité,Retraité),NonRetraité)))</f>
        <v>0</v>
      </c>
      <c r="K15" s="17"/>
      <c r="M15" s="16"/>
    </row>
    <row r="16" spans="1:13" x14ac:dyDescent="0.2">
      <c r="A16" s="31" t="s">
        <v>21</v>
      </c>
      <c r="C16" s="35" t="s">
        <v>58</v>
      </c>
      <c r="D16" s="33"/>
      <c r="E16" s="34"/>
      <c r="K16" s="17"/>
    </row>
    <row r="17" spans="1:11" x14ac:dyDescent="0.2">
      <c r="A17" s="31" t="s">
        <v>38</v>
      </c>
      <c r="C17" s="36" t="s">
        <v>40</v>
      </c>
      <c r="D17" s="33"/>
      <c r="E17" s="34"/>
      <c r="K17" s="17"/>
    </row>
    <row r="18" spans="1:11" ht="15" thickBot="1" x14ac:dyDescent="0.25">
      <c r="A18" s="37" t="s">
        <v>3</v>
      </c>
      <c r="B18" s="38"/>
      <c r="C18" s="39"/>
      <c r="D18" s="40"/>
      <c r="E18" s="41"/>
      <c r="F18" s="10"/>
    </row>
    <row r="19" spans="1:11" ht="30" customHeight="1" x14ac:dyDescent="0.2"/>
    <row r="20" spans="1:11" s="18" customFormat="1" ht="15.75" x14ac:dyDescent="0.25">
      <c r="A20" s="25" t="s">
        <v>0</v>
      </c>
      <c r="B20" s="25"/>
      <c r="C20" s="23" t="s">
        <v>4</v>
      </c>
      <c r="D20" s="23" t="s">
        <v>24</v>
      </c>
      <c r="E20" s="23" t="s">
        <v>5</v>
      </c>
      <c r="F20" s="11"/>
      <c r="G20" s="11"/>
    </row>
    <row r="21" spans="1:11" s="18" customFormat="1" ht="15" customHeight="1" x14ac:dyDescent="0.25">
      <c r="A21" s="42"/>
      <c r="B21" s="42"/>
      <c r="C21" s="43"/>
      <c r="D21" s="43"/>
      <c r="E21" s="43"/>
      <c r="F21" s="11"/>
      <c r="G21" s="11"/>
    </row>
    <row r="22" spans="1:11" s="18" customFormat="1" ht="15" customHeight="1" x14ac:dyDescent="0.25">
      <c r="A22" s="42" t="s">
        <v>16</v>
      </c>
      <c r="B22" s="42"/>
      <c r="C22" s="43"/>
      <c r="D22" s="43"/>
      <c r="E22" s="43"/>
      <c r="F22" s="11"/>
      <c r="G22" s="11"/>
    </row>
    <row r="23" spans="1:11" ht="15.75" customHeight="1" x14ac:dyDescent="0.2">
      <c r="A23" s="7" t="s">
        <v>45</v>
      </c>
      <c r="B23" s="7"/>
      <c r="C23" s="44">
        <v>1</v>
      </c>
      <c r="D23" s="35">
        <v>17.079999999999998</v>
      </c>
      <c r="E23" s="45">
        <f>MROUND(D23*C23,0.01)</f>
        <v>17.080000000000002</v>
      </c>
    </row>
    <row r="24" spans="1:11" ht="15.75" customHeight="1" x14ac:dyDescent="0.2">
      <c r="A24" s="7" t="s">
        <v>46</v>
      </c>
      <c r="B24" s="7"/>
      <c r="C24" s="46">
        <f>E23</f>
        <v>17.080000000000002</v>
      </c>
      <c r="D24" s="47">
        <v>8.3299999999999999E-2</v>
      </c>
      <c r="E24" s="45">
        <f t="shared" ref="E24:E25" si="0">MROUND(D24*C24,0.05)</f>
        <v>1.4000000000000001</v>
      </c>
    </row>
    <row r="25" spans="1:11" ht="15.75" customHeight="1" x14ac:dyDescent="0.2">
      <c r="A25" s="7" t="s">
        <v>47</v>
      </c>
      <c r="B25" s="7"/>
      <c r="C25" s="46">
        <f>E23</f>
        <v>17.080000000000002</v>
      </c>
      <c r="D25" s="48">
        <f>'Données de calcul'!C15</f>
        <v>3.1399999999999997E-2</v>
      </c>
      <c r="E25" s="45">
        <f t="shared" si="0"/>
        <v>0.55000000000000004</v>
      </c>
    </row>
    <row r="26" spans="1:11" ht="15.75" customHeight="1" x14ac:dyDescent="0.2">
      <c r="A26" s="7" t="s">
        <v>19</v>
      </c>
      <c r="B26" s="7"/>
      <c r="C26" s="44">
        <v>0</v>
      </c>
      <c r="D26" s="35">
        <v>0</v>
      </c>
      <c r="E26" s="45">
        <f>MROUND(D26*C26,0.05)</f>
        <v>0</v>
      </c>
    </row>
    <row r="27" spans="1:11" ht="15.75" customHeight="1" x14ac:dyDescent="0.2">
      <c r="A27" s="7" t="s">
        <v>18</v>
      </c>
      <c r="B27" s="7"/>
      <c r="C27" s="44"/>
      <c r="D27" s="35">
        <v>0</v>
      </c>
      <c r="E27" s="49">
        <f>MROUND(D27*C27,0.05)</f>
        <v>0</v>
      </c>
    </row>
    <row r="28" spans="1:11" ht="6" customHeight="1" x14ac:dyDescent="0.2">
      <c r="C28" s="7"/>
      <c r="E28" s="45"/>
    </row>
    <row r="29" spans="1:11" ht="15.75" customHeight="1" x14ac:dyDescent="0.25">
      <c r="A29" s="7"/>
      <c r="B29" s="7"/>
      <c r="C29" s="7"/>
      <c r="E29" s="50">
        <f>SUM(E23:E28)</f>
        <v>19.03</v>
      </c>
    </row>
    <row r="30" spans="1:11" ht="15.75" customHeight="1" x14ac:dyDescent="0.25">
      <c r="A30" s="42"/>
      <c r="B30" s="42"/>
      <c r="C30" s="7"/>
      <c r="E30" s="45"/>
    </row>
    <row r="31" spans="1:11" ht="15.75" customHeight="1" x14ac:dyDescent="0.25">
      <c r="A31" s="42" t="s">
        <v>17</v>
      </c>
      <c r="B31" s="42"/>
      <c r="C31" s="7"/>
      <c r="E31" s="45"/>
    </row>
    <row r="32" spans="1:11" x14ac:dyDescent="0.2">
      <c r="A32" s="17" t="s">
        <v>6</v>
      </c>
      <c r="B32" s="36" t="s">
        <v>36</v>
      </c>
      <c r="C32" s="45">
        <f>IF(F15&lt;18,0,IF(Retraité?,SUM(E23:E26)-'Données de calcul'!B22,SUM(E23:E26)))</f>
        <v>19.03</v>
      </c>
      <c r="D32" s="51">
        <f>IF(B32="Soumis",'Données de calcul'!C2,0)</f>
        <v>5.2999999999999999E-2</v>
      </c>
      <c r="E32" s="45">
        <f>-MROUND(C32*D32,0.05)</f>
        <v>-1</v>
      </c>
    </row>
    <row r="33" spans="1:6" x14ac:dyDescent="0.2">
      <c r="A33" s="7" t="s">
        <v>7</v>
      </c>
      <c r="B33" s="36" t="s">
        <v>36</v>
      </c>
      <c r="C33" s="45">
        <f>SalaireSoumisAVS</f>
        <v>19.03</v>
      </c>
      <c r="D33" s="51">
        <f>IF(B33="Soumis",'Données de calcul'!C3,0)</f>
        <v>8.9999999999999998E-4</v>
      </c>
      <c r="E33" s="45">
        <f t="shared" ref="E33:E38" si="1">-MROUND(C33*D33,0.05)</f>
        <v>0</v>
      </c>
    </row>
    <row r="34" spans="1:6" x14ac:dyDescent="0.2">
      <c r="A34" s="17" t="s">
        <v>20</v>
      </c>
      <c r="B34" s="36" t="s">
        <v>36</v>
      </c>
      <c r="C34" s="45">
        <f>IF(Retraité?,0,SalaireSoumisAVS)</f>
        <v>19.03</v>
      </c>
      <c r="D34" s="51">
        <f>IF(B34="Soumis",'Données de calcul'!C5,0)</f>
        <v>1.0999999999999999E-2</v>
      </c>
      <c r="E34" s="45">
        <f t="shared" si="1"/>
        <v>-0.2</v>
      </c>
    </row>
    <row r="35" spans="1:6" x14ac:dyDescent="0.2">
      <c r="A35" s="17" t="s">
        <v>13</v>
      </c>
      <c r="B35" s="36" t="s">
        <v>36</v>
      </c>
      <c r="C35" s="45">
        <f>SalaireSoumisAVS</f>
        <v>19.03</v>
      </c>
      <c r="D35" s="51">
        <f>IF(B35="Soumis",'Données de calcul'!C6,0)</f>
        <v>1.8350000000000002E-2</v>
      </c>
      <c r="E35" s="45">
        <f t="shared" si="1"/>
        <v>-0.35000000000000003</v>
      </c>
    </row>
    <row r="36" spans="1:6" x14ac:dyDescent="0.2">
      <c r="A36" s="17" t="s">
        <v>14</v>
      </c>
      <c r="B36" s="36" t="s">
        <v>36</v>
      </c>
      <c r="C36" s="45">
        <f>SUM(E23:E26)</f>
        <v>19.03</v>
      </c>
      <c r="D36" s="51">
        <f>IF(B36="Soumis",'Données de calcul'!C7,0)</f>
        <v>8.3999999999999995E-3</v>
      </c>
      <c r="E36" s="45">
        <f t="shared" si="1"/>
        <v>-0.15000000000000002</v>
      </c>
    </row>
    <row r="37" spans="1:6" x14ac:dyDescent="0.2">
      <c r="A37" s="17" t="s">
        <v>15</v>
      </c>
      <c r="B37" s="36" t="s">
        <v>36</v>
      </c>
      <c r="C37" s="45">
        <f>IF(Retraité?,0,
    IF(SalaireMensuelLPPDéterminant&lt;SalaireMinimumSoumisLPP,0,
       IF(SalaireMensuelLPPDéterminant&lt;=(SalaireCoordonnéMinimum+DéductionCoordination),(SalaireCoordonnéMinimum/30*NombreJoursDécomptés),
          IF(SalaireMensuelLPPDéterminant&lt;=SalaireMaximumSoumisLPP,'Décompte de salaire'!C36-(DéductionCoordination/30*NombreJoursDécomptés),
             SalaireCoordonnéMaximum
             )
          )
       )
    )</f>
        <v>0</v>
      </c>
      <c r="D37" s="51">
        <f>IF(B37="Soumis",IF(Retraité?,0,VLOOKUP(AgeAnnee,TauxLPP,2,TRUE)),0)</f>
        <v>0.05</v>
      </c>
      <c r="E37" s="45">
        <f t="shared" si="1"/>
        <v>0</v>
      </c>
      <c r="F37" s="9">
        <f>C36/NombreJoursDécomptés*30</f>
        <v>19.03</v>
      </c>
    </row>
    <row r="38" spans="1:6" x14ac:dyDescent="0.2">
      <c r="A38" s="7" t="s">
        <v>54</v>
      </c>
      <c r="C38" s="45">
        <f>E29</f>
        <v>19.03</v>
      </c>
      <c r="D38" s="52">
        <v>0</v>
      </c>
      <c r="E38" s="49">
        <f t="shared" si="1"/>
        <v>0</v>
      </c>
    </row>
    <row r="39" spans="1:6" ht="7.5" customHeight="1" x14ac:dyDescent="0.2">
      <c r="A39" s="7"/>
      <c r="B39" s="7"/>
      <c r="C39" s="45"/>
      <c r="E39" s="45"/>
    </row>
    <row r="40" spans="1:6" ht="15" x14ac:dyDescent="0.25">
      <c r="A40" s="25"/>
      <c r="B40" s="25"/>
      <c r="C40" s="7"/>
      <c r="E40" s="50">
        <f>SUM(E32:E38)</f>
        <v>-1.7000000000000002</v>
      </c>
    </row>
    <row r="41" spans="1:6" ht="15" x14ac:dyDescent="0.25">
      <c r="A41" s="42"/>
      <c r="B41" s="42"/>
      <c r="C41" s="7"/>
      <c r="E41" s="50"/>
    </row>
    <row r="42" spans="1:6" ht="15" x14ac:dyDescent="0.25">
      <c r="A42" s="42" t="s">
        <v>19</v>
      </c>
      <c r="B42" s="42"/>
      <c r="C42" s="7"/>
      <c r="E42" s="50"/>
    </row>
    <row r="43" spans="1:6" x14ac:dyDescent="0.2">
      <c r="A43" s="17" t="s">
        <v>35</v>
      </c>
      <c r="C43" s="44"/>
      <c r="D43" s="35">
        <v>1</v>
      </c>
      <c r="E43" s="45">
        <f>-1*(C43*D43)</f>
        <v>0</v>
      </c>
    </row>
    <row r="44" spans="1:6" x14ac:dyDescent="0.2">
      <c r="A44" s="17" t="s">
        <v>51</v>
      </c>
      <c r="C44" s="44">
        <v>0</v>
      </c>
      <c r="D44" s="35"/>
      <c r="E44" s="45">
        <f>-1*MROUND(D44*C44,0.05)</f>
        <v>0</v>
      </c>
    </row>
    <row r="45" spans="1:6" x14ac:dyDescent="0.2">
      <c r="A45" s="17" t="s">
        <v>52</v>
      </c>
      <c r="C45" s="44">
        <v>0</v>
      </c>
      <c r="D45" s="35">
        <v>1</v>
      </c>
      <c r="E45" s="45">
        <f>-1*MROUND(D45*C45,0.05)</f>
        <v>0</v>
      </c>
    </row>
    <row r="46" spans="1:6" x14ac:dyDescent="0.2">
      <c r="A46" s="7" t="s">
        <v>19</v>
      </c>
      <c r="C46" s="44"/>
      <c r="D46" s="35">
        <v>1</v>
      </c>
      <c r="E46" s="49">
        <f>-1*MROUND(D46*C46,0.05)</f>
        <v>0</v>
      </c>
    </row>
    <row r="47" spans="1:6" ht="5.25" customHeight="1" x14ac:dyDescent="0.2">
      <c r="A47" s="7"/>
      <c r="B47" s="7"/>
      <c r="C47" s="45"/>
      <c r="E47" s="45"/>
    </row>
    <row r="48" spans="1:6" ht="15" x14ac:dyDescent="0.25">
      <c r="A48" s="7"/>
      <c r="B48" s="7"/>
      <c r="C48" s="45"/>
      <c r="E48" s="50">
        <f>SUM(E43:E46)</f>
        <v>0</v>
      </c>
    </row>
    <row r="49" spans="1:7" ht="15.75" customHeight="1" x14ac:dyDescent="0.2">
      <c r="C49" s="7"/>
      <c r="E49" s="53"/>
    </row>
    <row r="50" spans="1:7" ht="15.75" customHeight="1" thickBot="1" x14ac:dyDescent="0.3">
      <c r="A50" s="42" t="s">
        <v>8</v>
      </c>
      <c r="B50" s="42"/>
      <c r="C50" s="7"/>
      <c r="E50" s="54">
        <f>E29+E40+E48</f>
        <v>17.330000000000002</v>
      </c>
    </row>
    <row r="51" spans="1:7" ht="15.75" customHeight="1" thickTop="1" x14ac:dyDescent="0.25">
      <c r="A51" s="42"/>
      <c r="B51" s="42"/>
      <c r="C51" s="7"/>
      <c r="E51" s="55"/>
    </row>
    <row r="52" spans="1:7" ht="15.75" customHeight="1" x14ac:dyDescent="0.25">
      <c r="A52" s="17" t="s">
        <v>53</v>
      </c>
      <c r="B52" s="42"/>
      <c r="C52" s="44">
        <v>0</v>
      </c>
      <c r="D52" s="35">
        <v>1</v>
      </c>
      <c r="E52" s="45">
        <f>-1*(C52*D52)</f>
        <v>0</v>
      </c>
    </row>
    <row r="53" spans="1:7" ht="30" customHeight="1" thickBot="1" x14ac:dyDescent="0.3">
      <c r="A53" s="42"/>
      <c r="B53" s="42"/>
      <c r="C53" s="7"/>
      <c r="E53" s="56"/>
    </row>
    <row r="54" spans="1:7" s="19" customFormat="1" ht="19.5" customHeight="1" thickBot="1" x14ac:dyDescent="0.3">
      <c r="A54" s="57" t="s">
        <v>22</v>
      </c>
      <c r="B54" s="58"/>
      <c r="C54" s="58"/>
      <c r="D54" s="58"/>
      <c r="E54" s="59">
        <f>E50-E52</f>
        <v>17.330000000000002</v>
      </c>
      <c r="F54" s="65"/>
      <c r="G54" s="65"/>
    </row>
    <row r="60" spans="1:7" ht="15" x14ac:dyDescent="0.25">
      <c r="A60" s="42" t="s">
        <v>39</v>
      </c>
    </row>
    <row r="61" spans="1:7" x14ac:dyDescent="0.2">
      <c r="A61" s="17" t="s">
        <v>6</v>
      </c>
      <c r="C61" s="66">
        <f>IF(F15&lt;18,0,IF(Retraité?,SUM(E23:E26)-'Données de calcul'!B22,SUM(E23:E26)))</f>
        <v>19.03</v>
      </c>
      <c r="D61" s="67">
        <f>IF(B32="Soumis",'Données de calcul'!D2,0)</f>
        <v>5.9199999999999996E-2</v>
      </c>
      <c r="E61" s="45">
        <f>MROUND(C61*D61,0.05)</f>
        <v>1.1500000000000001</v>
      </c>
    </row>
    <row r="62" spans="1:7" x14ac:dyDescent="0.2">
      <c r="A62" s="7" t="s">
        <v>7</v>
      </c>
      <c r="C62" s="66">
        <f>SalaireSoumisAVS</f>
        <v>19.03</v>
      </c>
      <c r="D62" s="67">
        <f>IF(B33="Soumis",'Données de calcul'!D3,0)</f>
        <v>8.9999999999999998E-4</v>
      </c>
      <c r="E62" s="45">
        <f t="shared" ref="E62" si="2">MROUND(C62*D62,0.05)</f>
        <v>0</v>
      </c>
    </row>
    <row r="63" spans="1:7" x14ac:dyDescent="0.2">
      <c r="A63" s="17" t="s">
        <v>42</v>
      </c>
      <c r="C63" s="66">
        <f>SalaireSoumisAVS</f>
        <v>19.03</v>
      </c>
      <c r="D63" s="67">
        <f>IF(B33="Soumis",'Données de calcul'!D4,0)</f>
        <v>2.3E-2</v>
      </c>
      <c r="E63" s="45">
        <f>IF(Type="Travailleur agricole",MROUND(C63*D63,0.05),0)</f>
        <v>0.45</v>
      </c>
    </row>
    <row r="64" spans="1:7" x14ac:dyDescent="0.2">
      <c r="A64" s="17" t="s">
        <v>20</v>
      </c>
      <c r="C64" s="66">
        <f>IF(Retraité?,0,SalaireSoumisAVS)</f>
        <v>19.03</v>
      </c>
      <c r="D64" s="67">
        <f>IF(B34="Soumis",'Données de calcul'!D5,0)</f>
        <v>1.0999999999999999E-2</v>
      </c>
      <c r="E64" s="45">
        <f>IF(Type="Travailleur agricole",MROUND(C64*D64,0.05),0)</f>
        <v>0.2</v>
      </c>
    </row>
    <row r="65" spans="1:5" x14ac:dyDescent="0.2">
      <c r="A65" s="17" t="s">
        <v>59</v>
      </c>
      <c r="C65" s="66">
        <f>SalaireSoumisAVS</f>
        <v>19.03</v>
      </c>
      <c r="D65" s="67">
        <f>IF(B35="Soumis",'Données de calcul'!D6,0)</f>
        <v>3.3989999999999999E-2</v>
      </c>
      <c r="E65" s="45">
        <f>IF(Type="Travailleur agricole",MROUND(C65*D65,0.05),0)</f>
        <v>0.65</v>
      </c>
    </row>
    <row r="66" spans="1:5" x14ac:dyDescent="0.2">
      <c r="A66" s="17" t="s">
        <v>14</v>
      </c>
      <c r="C66" s="66">
        <f>SUM(E23:E26)</f>
        <v>19.03</v>
      </c>
      <c r="D66" s="67">
        <f>IF(B36="Soumis",'Données de calcul'!D7,0)</f>
        <v>8.3999999999999995E-3</v>
      </c>
      <c r="E66" s="45">
        <f>IF(Type="Travailleur agricole",MROUND(C66*D66,0.05),0)</f>
        <v>0.15000000000000002</v>
      </c>
    </row>
    <row r="67" spans="1:5" x14ac:dyDescent="0.2">
      <c r="A67" s="17" t="s">
        <v>15</v>
      </c>
      <c r="C67" s="66">
        <f>IF(Retraité?,0,
    IF(SalaireMensuelLPPDéterminant&lt;SalaireMinimumSoumisLPP,0,
       IF(SalaireMensuelLPPDéterminant&lt;=(SalaireCoordonnéMinimum+DéductionCoordination),(SalaireCoordonnéMinimum/30*NombreJoursDécomptés),
          IF(SalaireMensuelLPPDéterminant&lt;=SalaireMaximumSoumisLPP,'Décompte de salaire'!C36-(DéductionCoordination/30*NombreJoursDécomptés),
             SalaireCoordonnéMaximum
             )
          )
       )
    )</f>
        <v>0</v>
      </c>
      <c r="D67" s="67">
        <f>IF(B37="Soumis",IF(Retraité?,0,VLOOKUP(AgeAnnee,TauxLPP,3,TRUE)),0)</f>
        <v>0.05</v>
      </c>
      <c r="E67" s="49">
        <f>IF(Type="Travailleur agricole",MROUND(C67*D67,0.05),0)</f>
        <v>0</v>
      </c>
    </row>
    <row r="68" spans="1:5" ht="9" customHeight="1" x14ac:dyDescent="0.2"/>
    <row r="69" spans="1:5" ht="15" x14ac:dyDescent="0.25">
      <c r="A69" s="42" t="s">
        <v>43</v>
      </c>
      <c r="B69" s="42"/>
      <c r="C69" s="42"/>
      <c r="D69" s="25"/>
      <c r="E69" s="50">
        <f>SUM(E61:E67)</f>
        <v>2.6</v>
      </c>
    </row>
    <row r="70" spans="1:5" ht="30" customHeight="1" thickBot="1" x14ac:dyDescent="0.25"/>
    <row r="71" spans="1:5" ht="15.75" thickBot="1" x14ac:dyDescent="0.3">
      <c r="A71" s="60" t="s">
        <v>44</v>
      </c>
      <c r="B71" s="61"/>
      <c r="C71" s="61"/>
      <c r="D71" s="62"/>
      <c r="E71" s="63">
        <f>E23+E24+E25+E69</f>
        <v>21.630000000000003</v>
      </c>
    </row>
  </sheetData>
  <sheetProtection algorithmName="SHA-512" hashValue="3mbAiPMVuSx6waEteScLxKB4tg5H+LQeZaSdZwwiZbI1K9Bi6ycwp5B0Zww9z57VD8FhHZjAg0fCRUF6jvZo7A==" saltValue="Q1/EiC8AMGT+wJEliotFlQ==" spinCount="100000" sheet="1" objects="1" scenarios="1"/>
  <mergeCells count="7">
    <mergeCell ref="C10:E10"/>
    <mergeCell ref="A2:B2"/>
    <mergeCell ref="A3:B3"/>
    <mergeCell ref="A4:B4"/>
    <mergeCell ref="A5:B5"/>
    <mergeCell ref="C8:E8"/>
    <mergeCell ref="C9:E9"/>
  </mergeCells>
  <dataValidations count="4">
    <dataValidation type="list" showInputMessage="1" showErrorMessage="1" sqref="C16" xr:uid="{00000000-0002-0000-0100-000000000000}">
      <formula1>"Homme,Femme"</formula1>
    </dataValidation>
    <dataValidation type="date" allowBlank="1" showInputMessage="1" showErrorMessage="1" sqref="C15" xr:uid="{00000000-0002-0000-0100-000001000000}">
      <formula1>1</formula1>
      <formula2>402133</formula2>
    </dataValidation>
    <dataValidation type="date" allowBlank="1" showInputMessage="1" showErrorMessage="1" sqref="E12 C12" xr:uid="{00000000-0002-0000-0100-000002000000}">
      <formula1>46023</formula1>
      <formula2>46387</formula2>
    </dataValidation>
    <dataValidation type="list" allowBlank="1" showInputMessage="1" showErrorMessage="1" sqref="B32:B37" xr:uid="{00000000-0002-0000-0100-000003000000}">
      <formula1>"Soumis,Non soumis"</formula1>
    </dataValidation>
  </dataValidations>
  <pageMargins left="0.39370078740157483" right="0.39370078740157483" top="0.39370078740157483" bottom="0.39370078740157483" header="0" footer="0"/>
  <pageSetup paperSize="9" scale="84" orientation="portrait" r:id="rId1"/>
  <ignoredErrors>
    <ignoredError sqref="C64 C34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5000000}">
          <x14:formula1>
            <xm:f>'Données de calcul'!$B$27:$C$27</xm:f>
          </x14:formula1>
          <xm:sqref>C17</xm:sqref>
        </x14:dataValidation>
        <x14:dataValidation type="list" allowBlank="1" showInputMessage="1" showErrorMessage="1" xr:uid="{00000000-0002-0000-0100-000006000000}">
          <x14:formula1>
            <xm:f>'Données de calcul'!$C$13:$C$14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D4" sqref="D4"/>
    </sheetView>
  </sheetViews>
  <sheetFormatPr baseColWidth="10" defaultColWidth="11.42578125" defaultRowHeight="14.25" x14ac:dyDescent="0.2"/>
  <cols>
    <col min="1" max="1" width="40.7109375" style="2" bestFit="1" customWidth="1"/>
    <col min="2" max="3" width="11.42578125" style="2"/>
    <col min="4" max="4" width="11.42578125" style="5"/>
    <col min="5" max="16384" width="11.42578125" style="2"/>
  </cols>
  <sheetData>
    <row r="1" spans="1:4" ht="15" x14ac:dyDescent="0.25">
      <c r="A1" s="1" t="s">
        <v>23</v>
      </c>
    </row>
    <row r="2" spans="1:4" x14ac:dyDescent="0.2">
      <c r="A2" s="3" t="s">
        <v>6</v>
      </c>
      <c r="C2" s="5">
        <f>4.35%+0.7%+0.25%</f>
        <v>5.2999999999999999E-2</v>
      </c>
      <c r="D2" s="5">
        <f>4.35%+0.7%+0.25%+0.53%+0.09%</f>
        <v>5.9199999999999996E-2</v>
      </c>
    </row>
    <row r="3" spans="1:4" x14ac:dyDescent="0.2">
      <c r="A3" s="2" t="s">
        <v>7</v>
      </c>
      <c r="C3" s="5">
        <v>8.9999999999999998E-4</v>
      </c>
      <c r="D3" s="5">
        <v>8.9999999999999998E-4</v>
      </c>
    </row>
    <row r="4" spans="1:4" x14ac:dyDescent="0.2">
      <c r="A4" s="3" t="s">
        <v>42</v>
      </c>
      <c r="C4" s="5"/>
      <c r="D4" s="5">
        <f>2%+0.24%+0.06%</f>
        <v>2.3E-2</v>
      </c>
    </row>
    <row r="5" spans="1:4" x14ac:dyDescent="0.2">
      <c r="A5" s="3" t="s">
        <v>20</v>
      </c>
      <c r="C5" s="5">
        <v>1.0999999999999999E-2</v>
      </c>
      <c r="D5" s="5">
        <v>1.0999999999999999E-2</v>
      </c>
    </row>
    <row r="6" spans="1:4" x14ac:dyDescent="0.2">
      <c r="A6" s="3" t="s">
        <v>13</v>
      </c>
      <c r="C6" s="5">
        <v>1.8350000000000002E-2</v>
      </c>
      <c r="D6" s="5">
        <v>3.3989999999999999E-2</v>
      </c>
    </row>
    <row r="7" spans="1:4" x14ac:dyDescent="0.2">
      <c r="A7" s="3" t="s">
        <v>14</v>
      </c>
      <c r="C7" s="5">
        <v>8.3999999999999995E-3</v>
      </c>
      <c r="D7" s="5">
        <v>8.3999999999999995E-3</v>
      </c>
    </row>
    <row r="8" spans="1:4" x14ac:dyDescent="0.2">
      <c r="A8" s="3" t="s">
        <v>15</v>
      </c>
      <c r="B8" s="2">
        <v>18</v>
      </c>
      <c r="C8" s="5">
        <v>1.4999999999999999E-2</v>
      </c>
      <c r="D8" s="5">
        <v>1.4999999999999999E-2</v>
      </c>
    </row>
    <row r="9" spans="1:4" x14ac:dyDescent="0.2">
      <c r="B9" s="2">
        <v>25</v>
      </c>
      <c r="C9" s="5">
        <v>0.05</v>
      </c>
      <c r="D9" s="5">
        <v>0.05</v>
      </c>
    </row>
    <row r="10" spans="1:4" x14ac:dyDescent="0.2">
      <c r="B10" s="2">
        <v>35</v>
      </c>
      <c r="C10" s="5">
        <v>6.5000000000000002E-2</v>
      </c>
      <c r="D10" s="5">
        <v>6.5000000000000002E-2</v>
      </c>
    </row>
    <row r="11" spans="1:4" x14ac:dyDescent="0.2">
      <c r="B11" s="2">
        <v>45</v>
      </c>
      <c r="C11" s="5">
        <v>0.09</v>
      </c>
      <c r="D11" s="5">
        <v>0.09</v>
      </c>
    </row>
    <row r="12" spans="1:4" x14ac:dyDescent="0.2">
      <c r="B12" s="2">
        <v>55</v>
      </c>
      <c r="C12" s="5">
        <v>0.105</v>
      </c>
      <c r="D12" s="5">
        <v>0.105</v>
      </c>
    </row>
    <row r="13" spans="1:4" x14ac:dyDescent="0.2">
      <c r="A13" s="2" t="s">
        <v>48</v>
      </c>
      <c r="C13" s="5">
        <v>8.3299999999999999E-2</v>
      </c>
    </row>
    <row r="14" spans="1:4" x14ac:dyDescent="0.2">
      <c r="A14" s="2" t="s">
        <v>49</v>
      </c>
      <c r="C14" s="5">
        <v>0.10639999999999999</v>
      </c>
    </row>
    <row r="15" spans="1:4" x14ac:dyDescent="0.2">
      <c r="A15" s="2" t="s">
        <v>50</v>
      </c>
      <c r="C15" s="5">
        <v>3.1399999999999997E-2</v>
      </c>
    </row>
    <row r="17" spans="1:3" ht="15" x14ac:dyDescent="0.25">
      <c r="A17" s="1" t="s">
        <v>25</v>
      </c>
    </row>
    <row r="18" spans="1:3" x14ac:dyDescent="0.2">
      <c r="A18" s="2" t="s">
        <v>26</v>
      </c>
      <c r="B18" s="4">
        <f>22680/12</f>
        <v>1890</v>
      </c>
    </row>
    <row r="19" spans="1:3" x14ac:dyDescent="0.2">
      <c r="A19" s="2" t="s">
        <v>34</v>
      </c>
      <c r="B19" s="4">
        <f>90720/12</f>
        <v>7560</v>
      </c>
    </row>
    <row r="20" spans="1:3" x14ac:dyDescent="0.2">
      <c r="A20" s="2" t="s">
        <v>32</v>
      </c>
      <c r="B20" s="4">
        <f>3780/12</f>
        <v>315</v>
      </c>
    </row>
    <row r="21" spans="1:3" x14ac:dyDescent="0.2">
      <c r="A21" s="2" t="s">
        <v>27</v>
      </c>
      <c r="B21" s="4">
        <f>26460/12</f>
        <v>2205</v>
      </c>
    </row>
    <row r="22" spans="1:3" x14ac:dyDescent="0.2">
      <c r="A22" s="2" t="s">
        <v>28</v>
      </c>
      <c r="B22" s="4">
        <v>1400</v>
      </c>
    </row>
    <row r="23" spans="1:3" x14ac:dyDescent="0.2">
      <c r="A23" s="2" t="s">
        <v>33</v>
      </c>
      <c r="B23" s="4">
        <f>SalaireMaximumSoumisLPP-DéductionCoordination</f>
        <v>5355</v>
      </c>
    </row>
    <row r="24" spans="1:3" x14ac:dyDescent="0.2">
      <c r="A24" s="2" t="s">
        <v>29</v>
      </c>
      <c r="B24" s="2">
        <v>65</v>
      </c>
    </row>
    <row r="25" spans="1:3" x14ac:dyDescent="0.2">
      <c r="A25" s="2" t="s">
        <v>30</v>
      </c>
      <c r="B25" s="2">
        <v>64</v>
      </c>
    </row>
    <row r="26" spans="1:3" x14ac:dyDescent="0.2">
      <c r="A26" s="2" t="s">
        <v>31</v>
      </c>
      <c r="B26" s="2" t="b">
        <f>TRUE</f>
        <v>1</v>
      </c>
      <c r="C26" s="2" t="b">
        <f>FALSE</f>
        <v>0</v>
      </c>
    </row>
    <row r="27" spans="1:3" x14ac:dyDescent="0.2">
      <c r="A27" s="2" t="s">
        <v>38</v>
      </c>
      <c r="B27" s="2" t="s">
        <v>41</v>
      </c>
      <c r="C27" s="2" t="s">
        <v>40</v>
      </c>
    </row>
    <row r="28" spans="1:3" x14ac:dyDescent="0.2">
      <c r="A28" s="2" t="s">
        <v>55</v>
      </c>
      <c r="B28" s="2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21</vt:i4>
      </vt:variant>
    </vt:vector>
  </HeadingPairs>
  <TitlesOfParts>
    <vt:vector size="24" baseType="lpstr">
      <vt:lpstr>Instructions</vt:lpstr>
      <vt:lpstr>Décompte de salaire</vt:lpstr>
      <vt:lpstr>Données de calcul</vt:lpstr>
      <vt:lpstr>AgeAnnee</vt:lpstr>
      <vt:lpstr>AgeRetraiteFemme</vt:lpstr>
      <vt:lpstr>AgeRetraiteHomme</vt:lpstr>
      <vt:lpstr>DéductionCoordination</vt:lpstr>
      <vt:lpstr>FranchiseAVSRetraité</vt:lpstr>
      <vt:lpstr>JoursFévrier</vt:lpstr>
      <vt:lpstr>NombreJoursDécomptés</vt:lpstr>
      <vt:lpstr>NonRetraité</vt:lpstr>
      <vt:lpstr>Retraité</vt:lpstr>
      <vt:lpstr>Retraité?</vt:lpstr>
      <vt:lpstr>SalaireCoordonnéMaximum</vt:lpstr>
      <vt:lpstr>SalaireCoordonnéMinimum</vt:lpstr>
      <vt:lpstr>SalaireMaximumSoumisLPP</vt:lpstr>
      <vt:lpstr>SalaireMensuelLPPDéterminant</vt:lpstr>
      <vt:lpstr>SalaireMinimumSoumisLPP</vt:lpstr>
      <vt:lpstr>SalaireSoumisAVS</vt:lpstr>
      <vt:lpstr>Sexe</vt:lpstr>
      <vt:lpstr>TauxLPP</vt:lpstr>
      <vt:lpstr>Type</vt:lpstr>
      <vt:lpstr>'Décompte de salaire'!Zone_d_impression</vt:lpstr>
      <vt:lpstr>Instructions!Zone_d_impression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Gaëlle</dc:creator>
  <cp:lastModifiedBy>DÉTRAZ Mélanie</cp:lastModifiedBy>
  <cp:lastPrinted>2022-02-01T16:44:26Z</cp:lastPrinted>
  <dcterms:created xsi:type="dcterms:W3CDTF">2018-03-05T14:40:33Z</dcterms:created>
  <dcterms:modified xsi:type="dcterms:W3CDTF">2026-01-27T11:13:10Z</dcterms:modified>
</cp:coreProperties>
</file>